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90" windowWidth="11115" windowHeight="5385"/>
  </bookViews>
  <sheets>
    <sheet name="Приложение" sheetId="2" r:id="rId1"/>
  </sheets>
  <definedNames>
    <definedName name="_xlnm.Print_Titles" localSheetId="0">Приложение!$16:$16</definedName>
    <definedName name="_xlnm.Print_Area" localSheetId="0">Приложение!$A$1:$J$48</definedName>
  </definedNames>
  <calcPr calcId="124519"/>
</workbook>
</file>

<file path=xl/calcChain.xml><?xml version="1.0" encoding="utf-8"?>
<calcChain xmlns="http://schemas.openxmlformats.org/spreadsheetml/2006/main">
  <c r="C26" i="2"/>
  <c r="D45"/>
  <c r="C45"/>
  <c r="C24"/>
  <c r="J45"/>
  <c r="G45"/>
  <c r="I45"/>
  <c r="F45"/>
  <c r="D27"/>
  <c r="C27"/>
  <c r="D33"/>
  <c r="G25"/>
  <c r="C46"/>
  <c r="C41"/>
  <c r="C36"/>
  <c r="F25"/>
  <c r="C25"/>
  <c r="D46"/>
  <c r="D41"/>
  <c r="D25"/>
  <c r="C39" l="1"/>
  <c r="F39"/>
  <c r="G39"/>
  <c r="I39"/>
  <c r="J39"/>
  <c r="H43"/>
  <c r="E43"/>
  <c r="B43"/>
  <c r="H33"/>
  <c r="E33"/>
  <c r="B33"/>
  <c r="D24"/>
  <c r="C21"/>
  <c r="D21" l="1"/>
  <c r="D50" l="1"/>
  <c r="C44"/>
  <c r="D40"/>
  <c r="D39" s="1"/>
  <c r="D34"/>
  <c r="G34"/>
  <c r="I34"/>
  <c r="J34"/>
  <c r="H38"/>
  <c r="E38"/>
  <c r="B38"/>
  <c r="I37"/>
  <c r="F37"/>
  <c r="F34" s="1"/>
  <c r="C37"/>
  <c r="C34" s="1"/>
  <c r="H32"/>
  <c r="E32"/>
  <c r="B32"/>
  <c r="H30"/>
  <c r="H31"/>
  <c r="E30"/>
  <c r="E31"/>
  <c r="B31"/>
  <c r="B30"/>
  <c r="I29"/>
  <c r="F29"/>
  <c r="C29"/>
  <c r="F26"/>
  <c r="J24"/>
  <c r="I24"/>
  <c r="G24"/>
  <c r="F24"/>
  <c r="I23"/>
  <c r="J23"/>
  <c r="F23"/>
  <c r="G23"/>
  <c r="C23"/>
  <c r="D23"/>
  <c r="I22"/>
  <c r="J22"/>
  <c r="F22"/>
  <c r="G22"/>
  <c r="C22"/>
  <c r="D22"/>
  <c r="D51" s="1"/>
  <c r="I21"/>
  <c r="J21"/>
  <c r="F21"/>
  <c r="G21"/>
  <c r="G20" s="1"/>
  <c r="I20" l="1"/>
  <c r="J20"/>
  <c r="D20"/>
  <c r="F20"/>
  <c r="C20"/>
  <c r="C47"/>
  <c r="D47"/>
  <c r="C18" l="1"/>
  <c r="E22"/>
  <c r="E46"/>
  <c r="H24"/>
  <c r="B29"/>
  <c r="B27"/>
  <c r="E29"/>
  <c r="H29"/>
  <c r="I44"/>
  <c r="J44"/>
  <c r="G44"/>
  <c r="E45"/>
  <c r="B36"/>
  <c r="E36"/>
  <c r="E35"/>
  <c r="H21"/>
  <c r="E21"/>
  <c r="H46"/>
  <c r="H48"/>
  <c r="H47" s="1"/>
  <c r="J47"/>
  <c r="I47"/>
  <c r="H42"/>
  <c r="H41"/>
  <c r="H40"/>
  <c r="H37"/>
  <c r="H36"/>
  <c r="H28"/>
  <c r="H27"/>
  <c r="H26"/>
  <c r="H25"/>
  <c r="H23"/>
  <c r="B42"/>
  <c r="E48"/>
  <c r="E47" s="1"/>
  <c r="B48"/>
  <c r="B47" s="1"/>
  <c r="F47"/>
  <c r="G47"/>
  <c r="E41"/>
  <c r="B41"/>
  <c r="E40"/>
  <c r="E27"/>
  <c r="E26"/>
  <c r="B26"/>
  <c r="E25"/>
  <c r="B25"/>
  <c r="E23"/>
  <c r="B23"/>
  <c r="B22"/>
  <c r="E42"/>
  <c r="E28"/>
  <c r="B28"/>
  <c r="E37"/>
  <c r="B37"/>
  <c r="B40"/>
  <c r="B21"/>
  <c r="B24"/>
  <c r="B46"/>
  <c r="F44"/>
  <c r="B35"/>
  <c r="B45"/>
  <c r="E24"/>
  <c r="H45"/>
  <c r="D44"/>
  <c r="H22"/>
  <c r="H35"/>
  <c r="B34" l="1"/>
  <c r="B20"/>
  <c r="E39"/>
  <c r="E34"/>
  <c r="H34"/>
  <c r="H39"/>
  <c r="H20"/>
  <c r="B39"/>
  <c r="E20"/>
  <c r="H44"/>
  <c r="G18"/>
  <c r="G17" s="1"/>
  <c r="D18"/>
  <c r="D17" s="1"/>
  <c r="C17"/>
  <c r="I18"/>
  <c r="I17" s="1"/>
  <c r="E44"/>
  <c r="F18"/>
  <c r="F17" s="1"/>
  <c r="J18"/>
  <c r="J17" s="1"/>
  <c r="B44"/>
  <c r="E18" l="1"/>
  <c r="E17" s="1"/>
  <c r="B18"/>
  <c r="B17" s="1"/>
  <c r="H18"/>
  <c r="H17" s="1"/>
</calcChain>
</file>

<file path=xl/sharedStrings.xml><?xml version="1.0" encoding="utf-8"?>
<sst xmlns="http://schemas.openxmlformats.org/spreadsheetml/2006/main" count="55" uniqueCount="52">
  <si>
    <t>из них:</t>
  </si>
  <si>
    <t>Наименование муниципальных образований</t>
  </si>
  <si>
    <t>Администрация Орловского района</t>
  </si>
  <si>
    <t>ВСЕГО</t>
  </si>
  <si>
    <t>Управление образования Орловского района</t>
  </si>
  <si>
    <t>Доля местного бюджета (4.6%)</t>
  </si>
  <si>
    <t>Управление культуры и спорта Орловского района Ростовской области</t>
  </si>
  <si>
    <t>в том числе:</t>
  </si>
  <si>
    <t>в том числе:.</t>
  </si>
  <si>
    <t xml:space="preserve"> Субсидия (95.4%)</t>
  </si>
  <si>
    <t xml:space="preserve"> Доля местного бюджета (4.6%)</t>
  </si>
  <si>
    <t xml:space="preserve"> Субсидия  (95.4 %)</t>
  </si>
  <si>
    <t xml:space="preserve"> Муниципальный район</t>
  </si>
  <si>
    <t>Всего на 2022 год</t>
  </si>
  <si>
    <t>1.Субсидия на организацию отдыха детей в каникулярное время</t>
  </si>
  <si>
    <t>1.Субсидия на 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</t>
  </si>
  <si>
    <t xml:space="preserve">к  Решению  Собрания депутатов Орловского района </t>
  </si>
  <si>
    <t>Управление социальной защиты населения Орловского района Ростовской области</t>
  </si>
  <si>
    <t>2.Субсидия на приобретение компьютерной техники</t>
  </si>
  <si>
    <t>1.Субсидия на комплектование книжных фондов библиотек муниципальных образований</t>
  </si>
  <si>
    <t>2. Субсидия на приобретение основных средств для муниципальных учреждений культуры</t>
  </si>
  <si>
    <t>Всего на 2023 год</t>
  </si>
  <si>
    <t>Всего на 2024 год</t>
  </si>
  <si>
    <t xml:space="preserve">"О бюджете Орловского района на 2022 год и на </t>
  </si>
  <si>
    <t>плановый период 2023 и 2024 годов"</t>
  </si>
  <si>
    <t>1. Субсидия на обеспечение жильем молодых семей  в Ростовской области</t>
  </si>
  <si>
    <t xml:space="preserve">2.Субсидия на реализацию принципа экстерриториальности при предоставлении государственных и муниципальных услуг </t>
  </si>
  <si>
    <t xml:space="preserve">3.Субсидия на организацию предоставления областных услуг на базе многофункциональных центров предоставления государственных и муниципальных услуг </t>
  </si>
  <si>
    <t>4.Субсидия на возмещение предприятиям жилищно-коммунального хозяйства части платы граждан за коммунальные услуги</t>
  </si>
  <si>
    <t>5.Субсидия  на разработку проектно-сметной документации на строительство, реконструкцию и капитальный ремонт объектов водопроводно-канализационного хозяйствапо объекту: «Водоснабжение населенных пунктов Волочаевского сельского поселения Орловского района  Ростовской области»</t>
  </si>
  <si>
    <t>2.Субсидия  на обновление материально-технической базы для формирования у обучающихся современных технологических и гуманитарных навыков</t>
  </si>
  <si>
    <t>3.Субсидия   на организацию бесплатного горячего питания обучающихся, получающих начальное общее образование в муниципальных общеобразовательных учреждениях</t>
  </si>
  <si>
    <t>Приложение 10</t>
  </si>
  <si>
    <t xml:space="preserve">   Распределение субсидий, выделенных из  областного бюджета бюджету Орловского района на софинансирование расходных обязательств, возникающих при выполнении полномочий органов   местного самоуправления по вопросам местного значения Орловского района на 2022 и на плановый период 2023 и 2024 годов. с долей местного бюджета</t>
  </si>
  <si>
    <t xml:space="preserve">6.Субсидия на реализацию региональных программ модернизации первичного звена здравоохранения (Оснащение и переоснащение медицинских организаций оборудованием по перечню, утвержденному Министерством здравоохранения Российской Федерации в соответствии со стандартами оснащения медицинских организаций (их структурных подразделений), предусмотренными положениями об организации оказания медицинской помощи по видам медицинской помощи, порядками оказания медицинской помощи либо правилами проведения лабораторных, инструментальных, патолого-анатомических и иных видов диагностических исследований, утвержденных Министерством здравоохранения Российской Федерации) </t>
  </si>
  <si>
    <t>7.Субсидия на приобретение, установку и оснащение модульных зданий для муниципальных учреждений здравоохранения</t>
  </si>
  <si>
    <t>8.Субсидия на приобретение автомобилей скорой медицинской помощи, санитарного и иного автотранспорта для муниципальных учреждений здравоохранения</t>
  </si>
  <si>
    <t>9.Субсидия на софинансирование муниципальных программ по работе с молодежью</t>
  </si>
  <si>
    <t>10. Субсидия на разработку проектной документации на капитальный ремонт, строительство и реконструкцию муниципальных объектов транспортной инфраструктуры</t>
  </si>
  <si>
    <t>11.Субсидия на реализацию мероприятий по формированию современной городской среды в части благоустройства общественных территорий</t>
  </si>
  <si>
    <t>12.Расходы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«Современный облик сельских территорий»)</t>
  </si>
  <si>
    <t xml:space="preserve">4. 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«Современный облик сельских территорий») </t>
  </si>
  <si>
    <t xml:space="preserve">3. Государственная поддержка отрасли культуры </t>
  </si>
  <si>
    <t>обор</t>
  </si>
  <si>
    <t>иные</t>
  </si>
  <si>
    <t>13.Субсидия за счет средств резервного фонда Правительства Ростовской области (пруды накопители)</t>
  </si>
  <si>
    <t>4. Государственная поддержка отрасли культуры за счет средств резервного фонда Правительства Российской Федерации</t>
  </si>
  <si>
    <t>к  Решению Собрания депутатов Орловского района</t>
  </si>
  <si>
    <t>О внесении изменений в Решение Собрания депутатов Орловского района</t>
  </si>
  <si>
    <t>от 24.12.2021 г.№16 "О бюджете Орловского района на 2022 год</t>
  </si>
  <si>
    <t>и на плановый период 2023 и 2024 годов"</t>
  </si>
  <si>
    <t>Приложение 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</si>
</sst>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2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</font>
    <font>
      <sz val="14"/>
      <name val="Times New Roman Cyr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1" applyFont="1" applyFill="1" applyBorder="1" applyAlignment="1">
      <alignment vertical="top" wrapText="1"/>
    </xf>
    <xf numFmtId="0" fontId="4" fillId="0" borderId="0" xfId="1" applyFont="1" applyFill="1" applyBorder="1" applyAlignment="1">
      <alignment vertical="top" wrapText="1"/>
    </xf>
    <xf numFmtId="0" fontId="2" fillId="0" borderId="0" xfId="1" applyFont="1" applyFill="1" applyBorder="1" applyAlignment="1">
      <alignment horizontal="left" vertical="top" wrapText="1"/>
    </xf>
    <xf numFmtId="0" fontId="3" fillId="0" borderId="1" xfId="1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left" vertical="top" wrapText="1"/>
    </xf>
    <xf numFmtId="164" fontId="8" fillId="0" borderId="1" xfId="1" applyNumberFormat="1" applyFont="1" applyFill="1" applyBorder="1" applyAlignment="1">
      <alignment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horizontal="left" vertical="top" wrapText="1"/>
    </xf>
    <xf numFmtId="164" fontId="7" fillId="0" borderId="2" xfId="1" applyNumberFormat="1" applyFont="1" applyFill="1" applyBorder="1" applyAlignment="1">
      <alignment vertical="top" wrapText="1"/>
    </xf>
    <xf numFmtId="165" fontId="8" fillId="0" borderId="1" xfId="1" applyNumberFormat="1" applyFont="1" applyFill="1" applyBorder="1" applyAlignment="1">
      <alignment vertical="top" wrapText="1"/>
    </xf>
    <xf numFmtId="0" fontId="3" fillId="0" borderId="1" xfId="1" applyNumberFormat="1" applyFont="1" applyFill="1" applyBorder="1" applyAlignment="1">
      <alignment horizontal="left" vertical="top" wrapText="1"/>
    </xf>
    <xf numFmtId="164" fontId="3" fillId="0" borderId="1" xfId="1" applyNumberFormat="1" applyFont="1" applyFill="1" applyBorder="1" applyAlignment="1">
      <alignment horizontal="left" vertical="top" wrapText="1"/>
    </xf>
    <xf numFmtId="49" fontId="3" fillId="0" borderId="1" xfId="1" applyNumberFormat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165" fontId="8" fillId="0" borderId="1" xfId="1" applyNumberFormat="1" applyFont="1" applyFill="1" applyBorder="1" applyAlignment="1">
      <alignment horizontal="center" vertical="top" wrapText="1"/>
    </xf>
    <xf numFmtId="165" fontId="7" fillId="2" borderId="1" xfId="1" applyNumberFormat="1" applyFont="1" applyFill="1" applyBorder="1" applyAlignment="1">
      <alignment vertical="top" wrapText="1"/>
    </xf>
    <xf numFmtId="165" fontId="8" fillId="2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vertical="top" wrapText="1"/>
    </xf>
    <xf numFmtId="165" fontId="7" fillId="0" borderId="1" xfId="1" applyNumberFormat="1" applyFont="1" applyFill="1" applyBorder="1" applyAlignment="1">
      <alignment vertical="top" wrapText="1"/>
    </xf>
    <xf numFmtId="164" fontId="7" fillId="0" borderId="1" xfId="1" applyNumberFormat="1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0" fontId="7" fillId="0" borderId="1" xfId="1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center" vertical="top" wrapText="1"/>
    </xf>
    <xf numFmtId="164" fontId="8" fillId="0" borderId="2" xfId="1" applyNumberFormat="1" applyFont="1" applyFill="1" applyBorder="1" applyAlignment="1">
      <alignment vertical="top" wrapText="1"/>
    </xf>
    <xf numFmtId="165" fontId="8" fillId="0" borderId="2" xfId="1" applyNumberFormat="1" applyFont="1" applyFill="1" applyBorder="1" applyAlignment="1">
      <alignment vertical="top" wrapText="1"/>
    </xf>
    <xf numFmtId="165" fontId="9" fillId="0" borderId="1" xfId="1" applyNumberFormat="1" applyFont="1" applyFill="1" applyBorder="1" applyAlignment="1">
      <alignment vertical="top" wrapText="1"/>
    </xf>
    <xf numFmtId="0" fontId="4" fillId="0" borderId="1" xfId="1" applyFont="1" applyFill="1" applyBorder="1" applyAlignment="1">
      <alignment vertical="top" wrapText="1"/>
    </xf>
    <xf numFmtId="0" fontId="4" fillId="0" borderId="3" xfId="1" applyFont="1" applyFill="1" applyBorder="1" applyAlignment="1">
      <alignment vertical="top" wrapText="1"/>
    </xf>
    <xf numFmtId="0" fontId="8" fillId="0" borderId="1" xfId="1" applyFont="1" applyFill="1" applyBorder="1" applyAlignment="1">
      <alignment vertical="top" wrapText="1"/>
    </xf>
    <xf numFmtId="0" fontId="3" fillId="0" borderId="1" xfId="1" applyFont="1" applyFill="1" applyBorder="1" applyAlignment="1">
      <alignment horizontal="left" vertical="top" wrapText="1"/>
    </xf>
    <xf numFmtId="164" fontId="8" fillId="0" borderId="2" xfId="1" applyNumberFormat="1" applyFont="1" applyFill="1" applyBorder="1" applyAlignment="1">
      <alignment vertical="center" wrapText="1"/>
    </xf>
    <xf numFmtId="165" fontId="2" fillId="0" borderId="0" xfId="1" applyNumberFormat="1" applyFont="1" applyFill="1" applyBorder="1" applyAlignment="1">
      <alignment vertical="top" wrapText="1"/>
    </xf>
    <xf numFmtId="0" fontId="10" fillId="0" borderId="0" xfId="0" applyFont="1" applyFill="1" applyAlignment="1"/>
    <xf numFmtId="0" fontId="11" fillId="0" borderId="0" xfId="0" applyFont="1" applyFill="1" applyAlignment="1">
      <alignment horizontal="right"/>
    </xf>
    <xf numFmtId="0" fontId="5" fillId="0" borderId="0" xfId="1" applyFont="1" applyFill="1" applyBorder="1" applyAlignment="1">
      <alignment horizontal="right" vertical="top" wrapText="1"/>
    </xf>
    <xf numFmtId="0" fontId="6" fillId="0" borderId="0" xfId="1" applyFont="1" applyFill="1" applyAlignment="1">
      <alignment horizontal="right" vertical="top" wrapText="1"/>
    </xf>
    <xf numFmtId="49" fontId="6" fillId="0" borderId="0" xfId="1" applyNumberFormat="1" applyFont="1" applyFill="1" applyAlignment="1">
      <alignment horizontal="right" vertical="distributed" wrapText="1"/>
    </xf>
    <xf numFmtId="0" fontId="6" fillId="0" borderId="0" xfId="1" applyFont="1" applyFill="1" applyAlignment="1">
      <alignment horizontal="right" wrapText="1"/>
    </xf>
    <xf numFmtId="0" fontId="8" fillId="0" borderId="0" xfId="0" applyFont="1" applyFill="1" applyAlignment="1">
      <alignment horizontal="right"/>
    </xf>
    <xf numFmtId="0" fontId="8" fillId="0" borderId="4" xfId="1" applyFont="1" applyFill="1" applyBorder="1" applyAlignment="1">
      <alignment horizontal="center" vertical="top" wrapText="1"/>
    </xf>
    <xf numFmtId="0" fontId="8" fillId="0" borderId="3" xfId="1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right" wrapText="1"/>
    </xf>
  </cellXfs>
  <cellStyles count="2">
    <cellStyle name="Обычный" xfId="0" builtinId="0"/>
    <cellStyle name="Обычный_Копия ФСР на 2008-2010 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Z101"/>
  <sheetViews>
    <sheetView tabSelected="1" view="pageBreakPreview" zoomScale="75" zoomScaleNormal="70" zoomScaleSheetLayoutView="75" workbookViewId="0">
      <selection activeCell="H22" sqref="H22"/>
    </sheetView>
  </sheetViews>
  <sheetFormatPr defaultColWidth="9.140625" defaultRowHeight="15.95" customHeight="1"/>
  <cols>
    <col min="1" max="1" width="44.140625" style="3" customWidth="1"/>
    <col min="2" max="2" width="15" style="1" customWidth="1"/>
    <col min="3" max="3" width="15.42578125" style="1" customWidth="1"/>
    <col min="4" max="4" width="13.140625" style="1" customWidth="1"/>
    <col min="5" max="5" width="14.5703125" style="1" customWidth="1"/>
    <col min="6" max="6" width="16" style="1" customWidth="1"/>
    <col min="7" max="7" width="11.28515625" style="1" customWidth="1"/>
    <col min="8" max="8" width="16.28515625" style="1" customWidth="1"/>
    <col min="9" max="9" width="14.140625" style="1" customWidth="1"/>
    <col min="10" max="10" width="14.28515625" style="1" customWidth="1"/>
    <col min="11" max="16384" width="9.140625" style="1"/>
  </cols>
  <sheetData>
    <row r="1" spans="1:13" ht="15.95" customHeight="1">
      <c r="A1" s="34" t="s">
        <v>51</v>
      </c>
      <c r="B1" s="34"/>
      <c r="C1" s="34"/>
      <c r="D1" s="34"/>
      <c r="E1" s="34"/>
      <c r="F1" s="34"/>
      <c r="G1" s="34"/>
      <c r="H1" s="34"/>
      <c r="I1" s="34"/>
      <c r="J1" s="34"/>
      <c r="K1" s="33"/>
      <c r="L1" s="33"/>
      <c r="M1" s="33"/>
    </row>
    <row r="2" spans="1:13" ht="15.95" customHeight="1">
      <c r="A2" s="34" t="s">
        <v>47</v>
      </c>
      <c r="B2" s="34"/>
      <c r="C2" s="34"/>
      <c r="D2" s="34"/>
      <c r="E2" s="34"/>
      <c r="F2" s="34"/>
      <c r="G2" s="34"/>
      <c r="H2" s="34"/>
      <c r="I2" s="34"/>
      <c r="J2" s="34"/>
      <c r="K2" s="33"/>
      <c r="L2" s="33"/>
      <c r="M2" s="33"/>
    </row>
    <row r="3" spans="1:13" ht="15.95" customHeight="1">
      <c r="A3" s="34" t="s">
        <v>48</v>
      </c>
      <c r="B3" s="34"/>
      <c r="C3" s="34"/>
      <c r="D3" s="34"/>
      <c r="E3" s="34"/>
      <c r="F3" s="34"/>
      <c r="G3" s="34"/>
      <c r="H3" s="34"/>
      <c r="I3" s="34"/>
      <c r="J3" s="34"/>
      <c r="K3" s="33"/>
      <c r="L3" s="33"/>
      <c r="M3" s="33"/>
    </row>
    <row r="4" spans="1:13" ht="15.95" customHeight="1">
      <c r="A4" s="34" t="s">
        <v>49</v>
      </c>
      <c r="B4" s="34"/>
      <c r="C4" s="34"/>
      <c r="D4" s="34"/>
      <c r="E4" s="34"/>
      <c r="F4" s="34"/>
      <c r="G4" s="34"/>
      <c r="H4" s="34"/>
      <c r="I4" s="34"/>
      <c r="J4" s="34"/>
      <c r="K4" s="33"/>
      <c r="L4" s="33"/>
      <c r="M4" s="33"/>
    </row>
    <row r="5" spans="1:13" ht="15.95" customHeight="1">
      <c r="A5" s="34" t="s">
        <v>50</v>
      </c>
      <c r="B5" s="34"/>
      <c r="C5" s="34"/>
      <c r="D5" s="34"/>
      <c r="E5" s="34"/>
      <c r="F5" s="34"/>
      <c r="G5" s="34"/>
      <c r="H5" s="34"/>
      <c r="I5" s="34"/>
      <c r="J5" s="34"/>
      <c r="K5" s="33"/>
      <c r="L5" s="33"/>
      <c r="M5" s="33"/>
    </row>
    <row r="7" spans="1:13" ht="20.25" customHeight="1">
      <c r="A7" s="38" t="s">
        <v>32</v>
      </c>
      <c r="B7" s="38"/>
      <c r="C7" s="38"/>
      <c r="D7" s="38"/>
      <c r="E7" s="38"/>
      <c r="F7" s="38"/>
      <c r="G7" s="38"/>
      <c r="H7" s="38"/>
      <c r="I7" s="38"/>
      <c r="J7" s="38"/>
    </row>
    <row r="8" spans="1:13" ht="20.25" customHeight="1">
      <c r="A8" s="37" t="s">
        <v>16</v>
      </c>
      <c r="B8" s="37"/>
      <c r="C8" s="37"/>
      <c r="D8" s="37"/>
      <c r="E8" s="37"/>
      <c r="F8" s="37"/>
      <c r="G8" s="37"/>
      <c r="H8" s="37"/>
      <c r="I8" s="37"/>
      <c r="J8" s="37"/>
    </row>
    <row r="9" spans="1:13" ht="20.25" customHeight="1">
      <c r="A9" s="36" t="s">
        <v>23</v>
      </c>
      <c r="B9" s="36"/>
      <c r="C9" s="36"/>
      <c r="D9" s="36"/>
      <c r="E9" s="36"/>
      <c r="F9" s="36"/>
      <c r="G9" s="36"/>
      <c r="H9" s="36"/>
      <c r="I9" s="36"/>
      <c r="J9" s="36"/>
    </row>
    <row r="10" spans="1:13" ht="20.25" customHeight="1">
      <c r="A10" s="35" t="s">
        <v>24</v>
      </c>
      <c r="B10" s="35"/>
      <c r="C10" s="35"/>
      <c r="D10" s="35"/>
      <c r="E10" s="35"/>
      <c r="F10" s="35"/>
      <c r="G10" s="35"/>
      <c r="H10" s="35"/>
      <c r="I10" s="35"/>
      <c r="J10" s="35"/>
    </row>
    <row r="11" spans="1:13" ht="15.95" customHeight="1">
      <c r="A11" s="5"/>
      <c r="B11" s="39"/>
      <c r="C11" s="39"/>
      <c r="D11" s="39"/>
      <c r="E11" s="39"/>
      <c r="F11" s="39"/>
      <c r="G11" s="39"/>
    </row>
    <row r="12" spans="1:13" ht="65.25" customHeight="1">
      <c r="A12" s="42" t="s">
        <v>33</v>
      </c>
      <c r="B12" s="42"/>
      <c r="C12" s="42"/>
      <c r="D12" s="42"/>
      <c r="E12" s="42"/>
      <c r="F12" s="42"/>
      <c r="G12" s="42"/>
      <c r="H12" s="42"/>
      <c r="I12" s="42"/>
      <c r="J12" s="42"/>
    </row>
    <row r="13" spans="1:13" ht="18" customHeight="1">
      <c r="A13" s="44"/>
      <c r="B13" s="44"/>
      <c r="C13" s="44"/>
      <c r="D13" s="44"/>
      <c r="E13" s="44"/>
      <c r="F13" s="44"/>
      <c r="G13" s="44"/>
    </row>
    <row r="14" spans="1:13" ht="18" customHeight="1">
      <c r="A14" s="43" t="s">
        <v>1</v>
      </c>
      <c r="B14" s="43" t="s">
        <v>13</v>
      </c>
      <c r="C14" s="40" t="s">
        <v>7</v>
      </c>
      <c r="D14" s="41"/>
      <c r="E14" s="43" t="s">
        <v>21</v>
      </c>
      <c r="F14" s="40" t="s">
        <v>8</v>
      </c>
      <c r="G14" s="41"/>
      <c r="H14" s="43" t="s">
        <v>22</v>
      </c>
      <c r="I14" s="40" t="s">
        <v>8</v>
      </c>
      <c r="J14" s="41"/>
    </row>
    <row r="15" spans="1:13" ht="78.75" customHeight="1">
      <c r="A15" s="43"/>
      <c r="B15" s="43"/>
      <c r="C15" s="23" t="s">
        <v>9</v>
      </c>
      <c r="D15" s="23" t="s">
        <v>10</v>
      </c>
      <c r="E15" s="43"/>
      <c r="F15" s="23" t="s">
        <v>11</v>
      </c>
      <c r="G15" s="15" t="s">
        <v>5</v>
      </c>
      <c r="H15" s="43"/>
      <c r="I15" s="23" t="s">
        <v>11</v>
      </c>
      <c r="J15" s="15" t="s">
        <v>5</v>
      </c>
    </row>
    <row r="16" spans="1:13" ht="15.75">
      <c r="A16" s="4">
        <v>1</v>
      </c>
      <c r="B16" s="4">
        <v>5</v>
      </c>
      <c r="C16" s="4">
        <v>6</v>
      </c>
      <c r="D16" s="4">
        <v>7</v>
      </c>
      <c r="E16" s="4">
        <v>8</v>
      </c>
      <c r="F16" s="4">
        <v>9</v>
      </c>
      <c r="G16" s="4">
        <v>10</v>
      </c>
      <c r="H16" s="4">
        <v>8</v>
      </c>
      <c r="I16" s="4">
        <v>9</v>
      </c>
      <c r="J16" s="4">
        <v>10</v>
      </c>
    </row>
    <row r="17" spans="1:10" ht="22.5" customHeight="1">
      <c r="A17" s="4" t="s">
        <v>3</v>
      </c>
      <c r="B17" s="6">
        <f t="shared" ref="B17:J17" si="0">SUM(B18)</f>
        <v>113435.09999999999</v>
      </c>
      <c r="C17" s="6">
        <f>SUM(C18)</f>
        <v>110552.09999999999</v>
      </c>
      <c r="D17" s="6">
        <f>SUM(D18)</f>
        <v>2883</v>
      </c>
      <c r="E17" s="6">
        <f t="shared" si="0"/>
        <v>59098.8</v>
      </c>
      <c r="F17" s="6">
        <f t="shared" si="0"/>
        <v>56911.100000000006</v>
      </c>
      <c r="G17" s="6">
        <f t="shared" si="0"/>
        <v>2187.7000000000003</v>
      </c>
      <c r="H17" s="6">
        <f t="shared" si="0"/>
        <v>177796.30000000002</v>
      </c>
      <c r="I17" s="6">
        <f t="shared" si="0"/>
        <v>169926.40000000002</v>
      </c>
      <c r="J17" s="6">
        <f t="shared" si="0"/>
        <v>7869.9</v>
      </c>
    </row>
    <row r="18" spans="1:10" s="2" customFormat="1" ht="18.75">
      <c r="A18" s="7" t="s">
        <v>12</v>
      </c>
      <c r="B18" s="6">
        <f>SUM(C18+D18)</f>
        <v>113435.09999999999</v>
      </c>
      <c r="C18" s="6">
        <f>C20+C34+C39+C44+C47</f>
        <v>110552.09999999999</v>
      </c>
      <c r="D18" s="6">
        <f>D20+D34+D39+D44+D47</f>
        <v>2883</v>
      </c>
      <c r="E18" s="6">
        <f>SUM(F18+G18)</f>
        <v>59098.8</v>
      </c>
      <c r="F18" s="6">
        <f>SUM(F20+F34+F39+F44+F47)</f>
        <v>56911.100000000006</v>
      </c>
      <c r="G18" s="6">
        <f>SUM(G20+G34+G39+G44+G47)</f>
        <v>2187.7000000000003</v>
      </c>
      <c r="H18" s="6">
        <f>SUM(I18+J18)</f>
        <v>177796.30000000002</v>
      </c>
      <c r="I18" s="6">
        <f>SUM(I20+I34+I39+I44+I47)</f>
        <v>169926.40000000002</v>
      </c>
      <c r="J18" s="6">
        <f>SUM(J20+J34+J39+J44+J47)</f>
        <v>7869.9</v>
      </c>
    </row>
    <row r="19" spans="1:10" ht="18.75">
      <c r="A19" s="8" t="s">
        <v>0</v>
      </c>
      <c r="B19" s="31"/>
      <c r="C19" s="24"/>
      <c r="D19" s="25"/>
      <c r="E19" s="9"/>
      <c r="F19" s="24"/>
      <c r="G19" s="25"/>
      <c r="H19" s="9"/>
      <c r="I19" s="24"/>
      <c r="J19" s="25"/>
    </row>
    <row r="20" spans="1:10" s="2" customFormat="1" ht="36" customHeight="1">
      <c r="A20" s="20" t="s">
        <v>2</v>
      </c>
      <c r="B20" s="18">
        <f>SUM(B21:B33)</f>
        <v>90102.599999999991</v>
      </c>
      <c r="C20" s="18">
        <f t="shared" ref="C20:J20" si="1">SUM(C21:C33)</f>
        <v>87639.3</v>
      </c>
      <c r="D20" s="18">
        <f t="shared" si="1"/>
        <v>2463.3000000000002</v>
      </c>
      <c r="E20" s="18">
        <f t="shared" si="1"/>
        <v>41944.1</v>
      </c>
      <c r="F20" s="18">
        <f t="shared" si="1"/>
        <v>39917</v>
      </c>
      <c r="G20" s="18">
        <f t="shared" si="1"/>
        <v>2027.1000000000001</v>
      </c>
      <c r="H20" s="18">
        <f t="shared" si="1"/>
        <v>155150.80000000002</v>
      </c>
      <c r="I20" s="18">
        <f t="shared" si="1"/>
        <v>147679</v>
      </c>
      <c r="J20" s="18">
        <f t="shared" si="1"/>
        <v>7471.8</v>
      </c>
    </row>
    <row r="21" spans="1:10" ht="47.25" customHeight="1">
      <c r="A21" s="12" t="s">
        <v>25</v>
      </c>
      <c r="B21" s="6">
        <f>SUM(C21+D21)</f>
        <v>3268.6</v>
      </c>
      <c r="C21" s="6">
        <f>3574.5-1211.4+755.1</f>
        <v>3118.2</v>
      </c>
      <c r="D21" s="10">
        <f>172.4-58.4+36.4</f>
        <v>150.4</v>
      </c>
      <c r="E21" s="6">
        <f>F21+G21</f>
        <v>2534.4999999999995</v>
      </c>
      <c r="F21" s="6">
        <f>3454.7-1036.8</f>
        <v>2417.8999999999996</v>
      </c>
      <c r="G21" s="10">
        <f>166.6-50</f>
        <v>116.6</v>
      </c>
      <c r="H21" s="6">
        <f>I21+J21</f>
        <v>2475.7999999999997</v>
      </c>
      <c r="I21" s="6">
        <f>2179.2+182.7</f>
        <v>2361.8999999999996</v>
      </c>
      <c r="J21" s="10">
        <f>105.1+8.8</f>
        <v>113.89999999999999</v>
      </c>
    </row>
    <row r="22" spans="1:10" ht="51.75" customHeight="1">
      <c r="A22" s="12" t="s">
        <v>26</v>
      </c>
      <c r="B22" s="6">
        <f t="shared" ref="B22:B26" si="2">SUM(C22+D22)</f>
        <v>30.6</v>
      </c>
      <c r="C22" s="6">
        <f>21.6+7.5</f>
        <v>29.1</v>
      </c>
      <c r="D22" s="10">
        <f>1.1+0.4</f>
        <v>1.5</v>
      </c>
      <c r="E22" s="6">
        <f t="shared" ref="E22:E26" si="3">SUM(F22+G22)</f>
        <v>31.599999999999998</v>
      </c>
      <c r="F22" s="6">
        <f>22.4+7.7</f>
        <v>30.099999999999998</v>
      </c>
      <c r="G22" s="10">
        <f>1.1+0.4</f>
        <v>1.5</v>
      </c>
      <c r="H22" s="6">
        <f t="shared" ref="H22:H28" si="4">SUM(I22+J22)</f>
        <v>32.9</v>
      </c>
      <c r="I22" s="6">
        <f>23.2+8.1</f>
        <v>31.299999999999997</v>
      </c>
      <c r="J22" s="10">
        <f>1.2+0.4</f>
        <v>1.6</v>
      </c>
    </row>
    <row r="23" spans="1:10" ht="83.25" customHeight="1">
      <c r="A23" s="12" t="s">
        <v>27</v>
      </c>
      <c r="B23" s="6">
        <f t="shared" si="2"/>
        <v>574.1</v>
      </c>
      <c r="C23" s="6">
        <f>395.3+152.3</f>
        <v>547.6</v>
      </c>
      <c r="D23" s="10">
        <f>19.1+7.4</f>
        <v>26.5</v>
      </c>
      <c r="E23" s="6">
        <f t="shared" si="3"/>
        <v>597</v>
      </c>
      <c r="F23" s="6">
        <f>411.1+158.4</f>
        <v>569.5</v>
      </c>
      <c r="G23" s="10">
        <f>19.9+7.6</f>
        <v>27.5</v>
      </c>
      <c r="H23" s="6">
        <f t="shared" si="4"/>
        <v>620.9</v>
      </c>
      <c r="I23" s="6">
        <f>427.5+164.8</f>
        <v>592.29999999999995</v>
      </c>
      <c r="J23" s="10">
        <f>20.7+7.9</f>
        <v>28.6</v>
      </c>
    </row>
    <row r="24" spans="1:10" ht="65.25" customHeight="1">
      <c r="A24" s="13" t="s">
        <v>28</v>
      </c>
      <c r="B24" s="6">
        <f t="shared" si="2"/>
        <v>9604.6999999999989</v>
      </c>
      <c r="C24" s="6">
        <f>1343.4+5000.9+2818.1</f>
        <v>9162.4</v>
      </c>
      <c r="D24" s="10">
        <f>64.8+241.2+136.3</f>
        <v>442.3</v>
      </c>
      <c r="E24" s="6">
        <f t="shared" si="3"/>
        <v>6650.2999999999993</v>
      </c>
      <c r="F24" s="6">
        <f>1343.4+5000.9</f>
        <v>6344.2999999999993</v>
      </c>
      <c r="G24" s="10">
        <f>64.8+241.2</f>
        <v>306</v>
      </c>
      <c r="H24" s="6">
        <f t="shared" si="4"/>
        <v>6650.2999999999993</v>
      </c>
      <c r="I24" s="6">
        <f>1343.4+5000.9</f>
        <v>6344.2999999999993</v>
      </c>
      <c r="J24" s="10">
        <f>64.8+241.2</f>
        <v>306</v>
      </c>
    </row>
    <row r="25" spans="1:10" ht="132" customHeight="1">
      <c r="A25" s="11" t="s">
        <v>29</v>
      </c>
      <c r="B25" s="6">
        <f t="shared" si="2"/>
        <v>0</v>
      </c>
      <c r="C25" s="6">
        <f>7011.9-7011.9</f>
        <v>0</v>
      </c>
      <c r="D25" s="10">
        <f>338.1-338.1</f>
        <v>0</v>
      </c>
      <c r="E25" s="6">
        <f t="shared" si="3"/>
        <v>1352.4</v>
      </c>
      <c r="F25" s="6">
        <f>28047.6-28047.6</f>
        <v>0</v>
      </c>
      <c r="G25" s="10">
        <f>1352.4</f>
        <v>1352.4</v>
      </c>
      <c r="H25" s="6">
        <f t="shared" si="4"/>
        <v>1352.4</v>
      </c>
      <c r="I25" s="6">
        <v>0</v>
      </c>
      <c r="J25" s="10">
        <v>1352.4</v>
      </c>
    </row>
    <row r="26" spans="1:10" ht="327" customHeight="1">
      <c r="A26" s="11" t="s">
        <v>34</v>
      </c>
      <c r="B26" s="6">
        <f t="shared" si="2"/>
        <v>42297.9</v>
      </c>
      <c r="C26" s="6">
        <f>55873.5-3569.6-10000-6</f>
        <v>42297.9</v>
      </c>
      <c r="D26" s="10">
        <v>0</v>
      </c>
      <c r="E26" s="6">
        <f t="shared" si="3"/>
        <v>11245.6</v>
      </c>
      <c r="F26" s="6">
        <f>13111.7-1866.1</f>
        <v>11245.6</v>
      </c>
      <c r="G26" s="10">
        <v>0</v>
      </c>
      <c r="H26" s="6">
        <f t="shared" si="4"/>
        <v>6540.5</v>
      </c>
      <c r="I26" s="6">
        <v>6540.5</v>
      </c>
      <c r="J26" s="10">
        <v>0</v>
      </c>
    </row>
    <row r="27" spans="1:10" ht="86.25" customHeight="1">
      <c r="A27" s="13" t="s">
        <v>35</v>
      </c>
      <c r="B27" s="6">
        <f t="shared" ref="B27:B33" si="5">SUM(C27+D27)</f>
        <v>20895.100000000002</v>
      </c>
      <c r="C27" s="6">
        <f>20034-100.1</f>
        <v>19933.900000000001</v>
      </c>
      <c r="D27" s="10">
        <f>966-4.8</f>
        <v>961.2</v>
      </c>
      <c r="E27" s="6">
        <f t="shared" ref="E27:E33" si="6">SUM(F27+G27)</f>
        <v>0</v>
      </c>
      <c r="F27" s="6">
        <v>0</v>
      </c>
      <c r="G27" s="10">
        <v>0</v>
      </c>
      <c r="H27" s="6">
        <f t="shared" si="4"/>
        <v>0</v>
      </c>
      <c r="I27" s="6">
        <v>0</v>
      </c>
      <c r="J27" s="10">
        <v>0</v>
      </c>
    </row>
    <row r="28" spans="1:10" ht="72" customHeight="1">
      <c r="A28" s="13" t="s">
        <v>36</v>
      </c>
      <c r="B28" s="6">
        <f t="shared" si="5"/>
        <v>0</v>
      </c>
      <c r="C28" s="6">
        <v>0</v>
      </c>
      <c r="D28" s="10">
        <v>0</v>
      </c>
      <c r="E28" s="6">
        <f t="shared" si="6"/>
        <v>4290.0999999999995</v>
      </c>
      <c r="F28" s="6">
        <v>4092.7</v>
      </c>
      <c r="G28" s="10">
        <v>197.4</v>
      </c>
      <c r="H28" s="6">
        <f t="shared" si="4"/>
        <v>0</v>
      </c>
      <c r="I28" s="6">
        <v>0</v>
      </c>
      <c r="J28" s="10">
        <v>0</v>
      </c>
    </row>
    <row r="29" spans="1:10" ht="48" customHeight="1">
      <c r="A29" s="11" t="s">
        <v>37</v>
      </c>
      <c r="B29" s="6">
        <f t="shared" si="5"/>
        <v>242.39999999999998</v>
      </c>
      <c r="C29" s="10">
        <f>231.1+0.1</f>
        <v>231.2</v>
      </c>
      <c r="D29" s="10">
        <v>11.2</v>
      </c>
      <c r="E29" s="6">
        <f t="shared" si="6"/>
        <v>242.39999999999998</v>
      </c>
      <c r="F29" s="10">
        <f>231.1+0.1</f>
        <v>231.2</v>
      </c>
      <c r="G29" s="10">
        <v>11.2</v>
      </c>
      <c r="H29" s="6">
        <f>SUM(I29+J29)</f>
        <v>242.39999999999998</v>
      </c>
      <c r="I29" s="10">
        <f>231.1+0.1</f>
        <v>231.2</v>
      </c>
      <c r="J29" s="10">
        <v>11.2</v>
      </c>
    </row>
    <row r="30" spans="1:10" ht="87.75" customHeight="1">
      <c r="A30" s="11" t="s">
        <v>38</v>
      </c>
      <c r="B30" s="6">
        <f t="shared" si="5"/>
        <v>3719.3999999999996</v>
      </c>
      <c r="C30" s="10">
        <v>3682.2</v>
      </c>
      <c r="D30" s="10">
        <v>37.200000000000003</v>
      </c>
      <c r="E30" s="6">
        <f t="shared" si="6"/>
        <v>0</v>
      </c>
      <c r="F30" s="10">
        <v>0</v>
      </c>
      <c r="G30" s="10">
        <v>0</v>
      </c>
      <c r="H30" s="6">
        <f t="shared" ref="H30:H33" si="7">SUM(I30+J30)</f>
        <v>0</v>
      </c>
      <c r="I30" s="10">
        <v>0</v>
      </c>
      <c r="J30" s="10">
        <v>0</v>
      </c>
    </row>
    <row r="31" spans="1:10" ht="72.75" customHeight="1">
      <c r="A31" s="11" t="s">
        <v>39</v>
      </c>
      <c r="B31" s="6">
        <f t="shared" si="5"/>
        <v>0</v>
      </c>
      <c r="C31" s="10">
        <v>0</v>
      </c>
      <c r="D31" s="10">
        <v>0</v>
      </c>
      <c r="E31" s="6">
        <f t="shared" si="6"/>
        <v>15000.2</v>
      </c>
      <c r="F31" s="10">
        <v>14985.7</v>
      </c>
      <c r="G31" s="10">
        <v>14.5</v>
      </c>
      <c r="H31" s="6">
        <f t="shared" si="7"/>
        <v>15000.2</v>
      </c>
      <c r="I31" s="10">
        <v>14985.7</v>
      </c>
      <c r="J31" s="10">
        <v>14.5</v>
      </c>
    </row>
    <row r="32" spans="1:10" ht="101.25" customHeight="1">
      <c r="A32" s="11" t="s">
        <v>40</v>
      </c>
      <c r="B32" s="6">
        <f t="shared" si="5"/>
        <v>0</v>
      </c>
      <c r="C32" s="10">
        <v>0</v>
      </c>
      <c r="D32" s="10">
        <v>0</v>
      </c>
      <c r="E32" s="6">
        <f t="shared" si="6"/>
        <v>0</v>
      </c>
      <c r="F32" s="10">
        <v>0</v>
      </c>
      <c r="G32" s="10">
        <v>0</v>
      </c>
      <c r="H32" s="6">
        <f t="shared" si="7"/>
        <v>122235.40000000001</v>
      </c>
      <c r="I32" s="10">
        <v>116591.8</v>
      </c>
      <c r="J32" s="10">
        <v>5643.6</v>
      </c>
    </row>
    <row r="33" spans="1:156" ht="51.75" customHeight="1">
      <c r="A33" s="11" t="s">
        <v>45</v>
      </c>
      <c r="B33" s="6">
        <f t="shared" si="5"/>
        <v>9469.7999999999993</v>
      </c>
      <c r="C33" s="10">
        <v>8636.7999999999993</v>
      </c>
      <c r="D33" s="10">
        <f>416.5+416.5</f>
        <v>833</v>
      </c>
      <c r="E33" s="6">
        <f t="shared" si="6"/>
        <v>0</v>
      </c>
      <c r="F33" s="10"/>
      <c r="G33" s="10"/>
      <c r="H33" s="6">
        <f t="shared" si="7"/>
        <v>0</v>
      </c>
      <c r="I33" s="10"/>
      <c r="J33" s="10"/>
    </row>
    <row r="34" spans="1:156" s="27" customFormat="1" ht="42.75" customHeight="1">
      <c r="A34" s="20" t="s">
        <v>4</v>
      </c>
      <c r="B34" s="18">
        <f t="shared" ref="B34:I34" si="8">B35+B36+B37+B38</f>
        <v>22020.3</v>
      </c>
      <c r="C34" s="18">
        <f t="shared" si="8"/>
        <v>21652.7</v>
      </c>
      <c r="D34" s="18">
        <f t="shared" si="8"/>
        <v>367.59999999999997</v>
      </c>
      <c r="E34" s="18">
        <f t="shared" si="8"/>
        <v>15852.4</v>
      </c>
      <c r="F34" s="18">
        <f t="shared" si="8"/>
        <v>15749.3</v>
      </c>
      <c r="G34" s="18">
        <f t="shared" si="8"/>
        <v>103.1</v>
      </c>
      <c r="H34" s="18">
        <f>H35+H36+H37+H38</f>
        <v>21264.6</v>
      </c>
      <c r="I34" s="18">
        <f t="shared" si="8"/>
        <v>20929.7</v>
      </c>
      <c r="J34" s="18">
        <f>J35+J36+J37+J38</f>
        <v>334.9</v>
      </c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</row>
    <row r="35" spans="1:156" ht="40.5" customHeight="1">
      <c r="A35" s="12" t="s">
        <v>14</v>
      </c>
      <c r="B35" s="6">
        <f t="shared" ref="B35:B38" si="9">SUM(C35+D35)</f>
        <v>2155</v>
      </c>
      <c r="C35" s="6">
        <v>2055.8000000000002</v>
      </c>
      <c r="D35" s="10">
        <v>99.2</v>
      </c>
      <c r="E35" s="6">
        <f t="shared" ref="E35:E38" si="10">SUM(F35+G35)</f>
        <v>2241.1</v>
      </c>
      <c r="F35" s="6">
        <v>2138</v>
      </c>
      <c r="G35" s="10">
        <v>103.1</v>
      </c>
      <c r="H35" s="6">
        <f t="shared" ref="H35:H38" si="11">SUM(I35+J35)</f>
        <v>2330.8000000000002</v>
      </c>
      <c r="I35" s="6">
        <v>2223.5</v>
      </c>
      <c r="J35" s="10">
        <v>107.3</v>
      </c>
    </row>
    <row r="36" spans="1:156" ht="76.5" customHeight="1">
      <c r="A36" s="13" t="s">
        <v>30</v>
      </c>
      <c r="B36" s="6">
        <f t="shared" si="9"/>
        <v>5833.5999999999995</v>
      </c>
      <c r="C36" s="6">
        <f>5566-0.8</f>
        <v>5565.2</v>
      </c>
      <c r="D36" s="10">
        <v>268.39999999999998</v>
      </c>
      <c r="E36" s="6">
        <f>SUM(F36+G36)</f>
        <v>0</v>
      </c>
      <c r="F36" s="6">
        <v>0</v>
      </c>
      <c r="G36" s="10">
        <v>0</v>
      </c>
      <c r="H36" s="6">
        <f t="shared" si="11"/>
        <v>0</v>
      </c>
      <c r="I36" s="6">
        <v>0</v>
      </c>
      <c r="J36" s="10">
        <v>0</v>
      </c>
    </row>
    <row r="37" spans="1:156" ht="88.5" customHeight="1">
      <c r="A37" s="13" t="s">
        <v>31</v>
      </c>
      <c r="B37" s="6">
        <f t="shared" si="9"/>
        <v>14031.7</v>
      </c>
      <c r="C37" s="6">
        <f>13733.5+298.2</f>
        <v>14031.7</v>
      </c>
      <c r="D37" s="10">
        <v>0</v>
      </c>
      <c r="E37" s="6">
        <f t="shared" si="10"/>
        <v>13611.3</v>
      </c>
      <c r="F37" s="6">
        <f>14282-670.7</f>
        <v>13611.3</v>
      </c>
      <c r="G37" s="10">
        <v>0</v>
      </c>
      <c r="H37" s="6">
        <f t="shared" si="11"/>
        <v>13988</v>
      </c>
      <c r="I37" s="6">
        <f>2427.9+11560.1</f>
        <v>13988</v>
      </c>
      <c r="J37" s="10">
        <v>0</v>
      </c>
    </row>
    <row r="38" spans="1:156" ht="111.75" customHeight="1">
      <c r="A38" s="13" t="s">
        <v>41</v>
      </c>
      <c r="B38" s="6">
        <f t="shared" si="9"/>
        <v>0</v>
      </c>
      <c r="C38" s="6"/>
      <c r="D38" s="10"/>
      <c r="E38" s="6">
        <f t="shared" si="10"/>
        <v>0</v>
      </c>
      <c r="F38" s="6"/>
      <c r="G38" s="10"/>
      <c r="H38" s="6">
        <f t="shared" si="11"/>
        <v>4945.8</v>
      </c>
      <c r="I38" s="6">
        <v>4718.2</v>
      </c>
      <c r="J38" s="10">
        <v>227.6</v>
      </c>
    </row>
    <row r="39" spans="1:156" s="27" customFormat="1" ht="58.5" customHeight="1">
      <c r="A39" s="21" t="s">
        <v>6</v>
      </c>
      <c r="B39" s="18">
        <f>B40+B41+B42+B43</f>
        <v>763.9</v>
      </c>
      <c r="C39" s="18">
        <f t="shared" ref="C39:J39" si="12">C40+C41+C42+C43</f>
        <v>737.19999999999993</v>
      </c>
      <c r="D39" s="18">
        <f t="shared" si="12"/>
        <v>26.699999999999996</v>
      </c>
      <c r="E39" s="18">
        <f t="shared" si="12"/>
        <v>839.8</v>
      </c>
      <c r="F39" s="18">
        <f t="shared" si="12"/>
        <v>807.3</v>
      </c>
      <c r="G39" s="18">
        <f t="shared" si="12"/>
        <v>32.5</v>
      </c>
      <c r="H39" s="18">
        <f t="shared" si="12"/>
        <v>915.1</v>
      </c>
      <c r="I39" s="18">
        <f t="shared" si="12"/>
        <v>879.2</v>
      </c>
      <c r="J39" s="18">
        <f t="shared" si="12"/>
        <v>35.9</v>
      </c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8"/>
    </row>
    <row r="40" spans="1:156" ht="56.25" customHeight="1">
      <c r="A40" s="12" t="s">
        <v>19</v>
      </c>
      <c r="B40" s="6">
        <f>SUM(C40+D40)</f>
        <v>252.39999999999998</v>
      </c>
      <c r="C40" s="6">
        <v>240.7</v>
      </c>
      <c r="D40" s="6">
        <f>12.7-1</f>
        <v>11.7</v>
      </c>
      <c r="E40" s="6">
        <f>SUM(F40+G40)</f>
        <v>252.39999999999998</v>
      </c>
      <c r="F40" s="6">
        <v>240.7</v>
      </c>
      <c r="G40" s="6">
        <v>11.7</v>
      </c>
      <c r="H40" s="6">
        <f t="shared" ref="H40:H46" si="13">SUM(I40+J40)</f>
        <v>327.70000000000005</v>
      </c>
      <c r="I40" s="6">
        <v>312.60000000000002</v>
      </c>
      <c r="J40" s="6">
        <v>15.1</v>
      </c>
    </row>
    <row r="41" spans="1:156" ht="64.5" customHeight="1">
      <c r="A41" s="12" t="s">
        <v>20</v>
      </c>
      <c r="B41" s="6">
        <f>SUM(C41+D41)</f>
        <v>284.10000000000002</v>
      </c>
      <c r="C41" s="10">
        <f>401.4-130.4</f>
        <v>271</v>
      </c>
      <c r="D41" s="10">
        <f>19.4-6.3</f>
        <v>13.099999999999998</v>
      </c>
      <c r="E41" s="6">
        <f>SUM(F41+G41)</f>
        <v>420.79999999999995</v>
      </c>
      <c r="F41" s="10">
        <v>401.4</v>
      </c>
      <c r="G41" s="10">
        <v>19.399999999999999</v>
      </c>
      <c r="H41" s="6">
        <f t="shared" si="13"/>
        <v>420.79999999999995</v>
      </c>
      <c r="I41" s="10">
        <v>401.4</v>
      </c>
      <c r="J41" s="10">
        <v>19.399999999999999</v>
      </c>
    </row>
    <row r="42" spans="1:156" ht="37.5" customHeight="1">
      <c r="A42" s="12" t="s">
        <v>42</v>
      </c>
      <c r="B42" s="6">
        <f t="shared" ref="B42:B46" si="14">SUM(C42+D42)</f>
        <v>166.6</v>
      </c>
      <c r="C42" s="29">
        <v>165.2</v>
      </c>
      <c r="D42" s="10">
        <v>1.4</v>
      </c>
      <c r="E42" s="6">
        <f t="shared" ref="E42:E46" si="15">SUM(F42+G42)</f>
        <v>166.6</v>
      </c>
      <c r="F42" s="29">
        <v>165.2</v>
      </c>
      <c r="G42" s="10">
        <v>1.4</v>
      </c>
      <c r="H42" s="6">
        <f t="shared" si="13"/>
        <v>166.6</v>
      </c>
      <c r="I42" s="29">
        <v>165.2</v>
      </c>
      <c r="J42" s="10">
        <v>1.4</v>
      </c>
    </row>
    <row r="43" spans="1:156" ht="53.25" customHeight="1">
      <c r="A43" s="12" t="s">
        <v>46</v>
      </c>
      <c r="B43" s="6">
        <f t="shared" si="14"/>
        <v>60.8</v>
      </c>
      <c r="C43" s="29">
        <v>60.3</v>
      </c>
      <c r="D43" s="10">
        <v>0.5</v>
      </c>
      <c r="E43" s="6">
        <f t="shared" si="15"/>
        <v>0</v>
      </c>
      <c r="F43" s="29"/>
      <c r="G43" s="10"/>
      <c r="H43" s="6">
        <f t="shared" si="13"/>
        <v>0</v>
      </c>
      <c r="I43" s="29"/>
      <c r="J43" s="10"/>
    </row>
    <row r="44" spans="1:156" ht="56.25">
      <c r="A44" s="22" t="s">
        <v>17</v>
      </c>
      <c r="B44" s="18">
        <f>SUM(C44+D44)</f>
        <v>548.29999999999995</v>
      </c>
      <c r="C44" s="18">
        <f>C45+C46</f>
        <v>522.9</v>
      </c>
      <c r="D44" s="18">
        <f>D45+D46</f>
        <v>25.4</v>
      </c>
      <c r="E44" s="18">
        <f>SUM(F44+G44)</f>
        <v>462.5</v>
      </c>
      <c r="F44" s="18">
        <f>F45+F46</f>
        <v>437.5</v>
      </c>
      <c r="G44" s="18">
        <f>G45+G46</f>
        <v>25</v>
      </c>
      <c r="H44" s="18">
        <f t="shared" si="13"/>
        <v>465.8</v>
      </c>
      <c r="I44" s="18">
        <f>I45+I46</f>
        <v>438.5</v>
      </c>
      <c r="J44" s="18">
        <f>J45+J46</f>
        <v>27.299999999999997</v>
      </c>
    </row>
    <row r="45" spans="1:156" ht="80.25" customHeight="1">
      <c r="A45" s="30" t="s">
        <v>15</v>
      </c>
      <c r="B45" s="6">
        <f t="shared" si="14"/>
        <v>358.90000000000003</v>
      </c>
      <c r="C45" s="29">
        <f>451.9+4.1+12-125.7</f>
        <v>342.3</v>
      </c>
      <c r="D45" s="29">
        <f>21.8+0.2+0.6-6</f>
        <v>16.600000000000001</v>
      </c>
      <c r="E45" s="6">
        <f t="shared" si="15"/>
        <v>462.5</v>
      </c>
      <c r="F45" s="29">
        <f>412.7+4.1+20.7</f>
        <v>437.5</v>
      </c>
      <c r="G45" s="29">
        <f>19.9+0.2+0.1+4.8</f>
        <v>25</v>
      </c>
      <c r="H45" s="6">
        <f t="shared" si="13"/>
        <v>465.8</v>
      </c>
      <c r="I45" s="29">
        <f>413.7+4.1+20.7</f>
        <v>438.5</v>
      </c>
      <c r="J45" s="29">
        <f>20+0.2+7.1</f>
        <v>27.299999999999997</v>
      </c>
    </row>
    <row r="46" spans="1:156" ht="44.25" customHeight="1">
      <c r="A46" s="30" t="s">
        <v>18</v>
      </c>
      <c r="B46" s="6">
        <f t="shared" si="14"/>
        <v>189.4</v>
      </c>
      <c r="C46" s="29">
        <f>201.1-20.5</f>
        <v>180.6</v>
      </c>
      <c r="D46" s="29">
        <f>9.7-0.9</f>
        <v>8.7999999999999989</v>
      </c>
      <c r="E46" s="6">
        <f t="shared" si="15"/>
        <v>0</v>
      </c>
      <c r="F46" s="29">
        <v>0</v>
      </c>
      <c r="G46" s="29">
        <v>0</v>
      </c>
      <c r="H46" s="6">
        <f t="shared" si="13"/>
        <v>0</v>
      </c>
      <c r="I46" s="29">
        <v>0</v>
      </c>
      <c r="J46" s="29">
        <v>0</v>
      </c>
    </row>
    <row r="47" spans="1:156" ht="18.75" hidden="1">
      <c r="A47" s="22"/>
      <c r="B47" s="16">
        <f t="shared" ref="B47:J47" si="16">B48</f>
        <v>0</v>
      </c>
      <c r="C47" s="19">
        <f t="shared" si="16"/>
        <v>0</v>
      </c>
      <c r="D47" s="19">
        <f t="shared" si="16"/>
        <v>0</v>
      </c>
      <c r="E47" s="16">
        <f t="shared" si="16"/>
        <v>0</v>
      </c>
      <c r="F47" s="19">
        <f t="shared" si="16"/>
        <v>0</v>
      </c>
      <c r="G47" s="19">
        <f t="shared" si="16"/>
        <v>0</v>
      </c>
      <c r="H47" s="16">
        <f t="shared" si="16"/>
        <v>0</v>
      </c>
      <c r="I47" s="19">
        <f t="shared" si="16"/>
        <v>0</v>
      </c>
      <c r="J47" s="19">
        <f t="shared" si="16"/>
        <v>0</v>
      </c>
    </row>
    <row r="48" spans="1:156" ht="54.75" hidden="1" customHeight="1">
      <c r="A48" s="14"/>
      <c r="B48" s="17">
        <f>C48+D48</f>
        <v>0</v>
      </c>
      <c r="C48" s="10"/>
      <c r="D48" s="10"/>
      <c r="E48" s="17">
        <f>F48+G48</f>
        <v>0</v>
      </c>
      <c r="F48" s="10"/>
      <c r="G48" s="10"/>
      <c r="H48" s="17">
        <f>I48+J48</f>
        <v>0</v>
      </c>
      <c r="I48" s="10"/>
      <c r="J48" s="26"/>
    </row>
    <row r="49" spans="3:4" ht="15.75"/>
    <row r="50" spans="3:4" ht="15.75" hidden="1">
      <c r="C50" s="1" t="s">
        <v>43</v>
      </c>
      <c r="D50" s="32">
        <f>D41+D27+D46</f>
        <v>983.1</v>
      </c>
    </row>
    <row r="51" spans="3:4" ht="15.75" hidden="1">
      <c r="C51" s="1" t="s">
        <v>44</v>
      </c>
      <c r="D51" s="32">
        <f>D21+D22+D23+D24+D29+D35+D36+D40+D42+D45</f>
        <v>1029.2</v>
      </c>
    </row>
    <row r="52" spans="3:4" ht="15.75" hidden="1"/>
    <row r="53" spans="3:4" ht="15.75"/>
    <row r="54" spans="3:4" ht="15.75"/>
    <row r="55" spans="3:4" ht="15.75"/>
    <row r="56" spans="3:4" ht="15.75"/>
    <row r="57" spans="3:4" ht="15.75"/>
    <row r="58" spans="3:4" ht="15.75"/>
    <row r="59" spans="3:4" ht="15.75"/>
    <row r="60" spans="3:4" ht="15.75"/>
    <row r="61" spans="3:4" ht="15.75"/>
    <row r="62" spans="3:4" ht="15.75"/>
    <row r="63" spans="3:4" ht="15.75"/>
    <row r="64" spans="3:4" ht="15.75"/>
    <row r="65" ht="15.75"/>
    <row r="66" ht="15.75"/>
    <row r="67" ht="15.75"/>
    <row r="68" ht="15.75"/>
    <row r="69" ht="15.75"/>
    <row r="70" ht="15.75"/>
    <row r="71" ht="15.75"/>
    <row r="72" ht="15.75"/>
    <row r="73" ht="15.75"/>
    <row r="74" ht="15.75"/>
    <row r="75" ht="15.75"/>
    <row r="76" ht="15.75"/>
    <row r="77" ht="15.75"/>
    <row r="78" ht="15.75"/>
    <row r="79" ht="15.75"/>
    <row r="80" ht="15.75"/>
    <row r="81" ht="15.75"/>
    <row r="82" ht="15.75"/>
    <row r="83" ht="15.75"/>
    <row r="84" ht="15.75"/>
    <row r="85" ht="15.75"/>
    <row r="86" ht="15.75"/>
    <row r="87" ht="15.75"/>
    <row r="88" ht="15.75"/>
    <row r="89" ht="15.75"/>
    <row r="90" ht="15.75"/>
    <row r="91" ht="15.75"/>
    <row r="92" ht="15.75"/>
    <row r="93" ht="15.75"/>
    <row r="94" ht="15.75"/>
    <row r="95" ht="15.75"/>
    <row r="96" ht="15.75"/>
    <row r="97" ht="15.75"/>
    <row r="98" ht="15.75"/>
    <row r="99" ht="15.75"/>
    <row r="100" ht="15.75"/>
    <row r="101" ht="15.75"/>
  </sheetData>
  <mergeCells count="19">
    <mergeCell ref="I14:J14"/>
    <mergeCell ref="A12:J12"/>
    <mergeCell ref="F14:G14"/>
    <mergeCell ref="A14:A15"/>
    <mergeCell ref="B14:B15"/>
    <mergeCell ref="C14:D14"/>
    <mergeCell ref="E14:E15"/>
    <mergeCell ref="H14:H15"/>
    <mergeCell ref="A13:G13"/>
    <mergeCell ref="A10:J10"/>
    <mergeCell ref="A9:J9"/>
    <mergeCell ref="A8:J8"/>
    <mergeCell ref="A7:J7"/>
    <mergeCell ref="B11:G11"/>
    <mergeCell ref="A1:J1"/>
    <mergeCell ref="A2:J2"/>
    <mergeCell ref="A3:J3"/>
    <mergeCell ref="A4:J4"/>
    <mergeCell ref="A5:J5"/>
  </mergeCells>
  <printOptions horizontalCentered="1"/>
  <pageMargins left="0.27559055118110237" right="0.23622047244094491" top="0.31496062992125984" bottom="0.19685039370078741" header="0.31496062992125984" footer="0.19685039370078741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минфин РО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Бегущий</dc:creator>
  <cp:lastModifiedBy>user</cp:lastModifiedBy>
  <cp:lastPrinted>2022-03-03T08:43:01Z</cp:lastPrinted>
  <dcterms:created xsi:type="dcterms:W3CDTF">2007-10-22T09:23:55Z</dcterms:created>
  <dcterms:modified xsi:type="dcterms:W3CDTF">2022-10-25T13:02:42Z</dcterms:modified>
</cp:coreProperties>
</file>